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er" sheetId="1" state="visible" r:id="rId3"/>
    <sheet name="Assumptions" sheetId="2" state="visible" r:id="rId4"/>
    <sheet name="Volunteer Budget Y1" sheetId="3" state="visible" r:id="rId5"/>
    <sheet name="Capacity &amp; Unit Economics" sheetId="4" state="visible" r:id="rId6"/>
    <sheet name="In-Kind Value" sheetId="5" state="visible" r:id="rId7"/>
    <sheet name="Funding Plan Y1" sheetId="6" state="visible" r:id="rId8"/>
    <sheet name="3-Year Ramp" sheetId="7" state="visible" r:id="rId9"/>
    <sheet name="Corrections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<sst xmlns="http://schemas.openxmlformats.org/spreadsheetml/2006/main" count="243" uniqueCount="227">
  <si>
    <t xml:space="preserve">Inland Mind Foundation — Feasibility Model v2</t>
  </si>
  <si>
    <t xml:space="preserve">Volunteer-powered free psychiatric clinic · Riverside &amp; San Bernardino Counties</t>
  </si>
  <si>
    <t xml:space="preserve">Version</t>
  </si>
  <si>
    <t xml:space="preserve">v2 — August 13, 2026 (builds on the ChatGPT 'California Psychiatric Continuity' workbook, verified)</t>
  </si>
  <si>
    <t xml:space="preserve">What changed</t>
  </si>
  <si>
    <t xml:space="preserve">(1) Every material factual claim in the original workbook and board study was re-verified against official sources — see 'Corrections' tab. (2) The original modeled ONLY a fully-paid staffing stress case ($3.08M lean launch). This version adds the scenario the founder actually asked for: a volunteer-clinician, partner-hosted, one-day-per-week free psychiatric clinic at a $75K–$100K cash budget — the model used by most of America's 1,400+ free clinics (NAFC 2025: half operate on ≤$250K/yr; 92% of the workforce is volunteer).</t>
  </si>
  <si>
    <t xml:space="preserve">Recommended route</t>
  </si>
  <si>
    <t xml:space="preserve">Phased: fiscal sponsorship now → benefits navigation (Phase 0, Nov 2026) → partner-hosted volunteer clinic day (Phase 1, Jan 2027) → own free-clinic license only if scale demands it (Phase 2 gate, 2028+). Consistent with the original study's legal gates; radically cheaper to launch.</t>
  </si>
  <si>
    <t xml:space="preserve">Model discipline</t>
  </si>
  <si>
    <t xml:space="preserve">Blue cells = editable planning inputs. Black = formulas. Green = cross-sheet links. Replace planning estimates with quotes before board authorization. Competitive grants are NOT launch cash until awarded.</t>
  </si>
  <si>
    <t xml:space="preserve">Companion files</t>
  </si>
  <si>
    <t xml:space="preserve">2026-08-13_inland-mind_verification_report_v1.docx (claim-by-claim verification + strategy) · 2026-08-13_inland-mind_grants_matrix_v1.xlsx (verified funding pipeline)</t>
  </si>
  <si>
    <t xml:space="preserve">Core Assumptions — Volunteer Lean Launch</t>
  </si>
  <si>
    <t xml:space="preserve">Blue = editable inputs. Three cash scenarios: Floor / Base / Comfort. All feed the Budget, Capacity, and Ramp tabs.</t>
  </si>
  <si>
    <t xml:space="preserve">Input</t>
  </si>
  <si>
    <t xml:space="preserve">Floor</t>
  </si>
  <si>
    <t xml:space="preserve">Base</t>
  </si>
  <si>
    <t xml:space="preserve">Comfort</t>
  </si>
  <si>
    <t xml:space="preserve">Units</t>
  </si>
  <si>
    <t xml:space="preserve">Basis / source</t>
  </si>
  <si>
    <t xml:space="preserve">Clinic days per week</t>
  </si>
  <si>
    <t xml:space="preserve">days</t>
  </si>
  <si>
    <t xml:space="preserve">Founder's launch design</t>
  </si>
  <si>
    <t xml:space="preserve">Working weeks per year</t>
  </si>
  <si>
    <t xml:space="preserve">weeks</t>
  </si>
  <si>
    <t xml:space="preserve">Matches original model (PTO/holidays/vacancy)</t>
  </si>
  <si>
    <t xml:space="preserve">Volunteer prescribers per clinic day</t>
  </si>
  <si>
    <t xml:space="preserve">avg headcount</t>
  </si>
  <si>
    <t xml:space="preserve">Fady + IPMG-network volunteers; 1.5 = Fady every week, colleague alternating</t>
  </si>
  <si>
    <t xml:space="preserve">Visits per prescriber per day</t>
  </si>
  <si>
    <t xml:space="preserve">visits</t>
  </si>
  <si>
    <t xml:space="preserve">~3 intakes (45 min) + 6 follow-ups (20 min) across a 7-hr day; conservative vs original model's 5–6/session x 8 sessions</t>
  </si>
  <si>
    <t xml:space="preserve">No-show rate</t>
  </si>
  <si>
    <t xml:space="preserve">%</t>
  </si>
  <si>
    <t xml:space="preserve">Original model 18–20%; free-clinic literature supports 15–30%; mitigate with reminders + same-day fill list</t>
  </si>
  <si>
    <t xml:space="preserve">Average visits per patient per year</t>
  </si>
  <si>
    <t xml:space="preserve">Bridge-episode weighting (original: 2.5–4 bridge, 6.5–7.5 intensive)</t>
  </si>
  <si>
    <t xml:space="preserve">Navigation-only episodes per year</t>
  </si>
  <si>
    <t xml:space="preserve">episodes</t>
  </si>
  <si>
    <t xml:space="preserve">Coverage-rescue cases handled by navigator without a prescriber visit</t>
  </si>
  <si>
    <t xml:space="preserve">Benefits navigator FTE (paid)</t>
  </si>
  <si>
    <t xml:space="preserve">FTE</t>
  </si>
  <si>
    <t xml:space="preserve">THE one paid role — coverage rescue is the highest-value function per the board study</t>
  </si>
  <si>
    <t xml:space="preserve">Navigator salary (1.0 FTE basis)</t>
  </si>
  <si>
    <t xml:space="preserve">$/yr</t>
  </si>
  <si>
    <t xml:space="preserve">Original model figure; certified-enrollment training required</t>
  </si>
  <si>
    <t xml:space="preserve">Payroll burden (part-time via sponsor)</t>
  </si>
  <si>
    <t xml:space="preserve">% of wages</t>
  </si>
  <si>
    <t xml:space="preserve">Sponsor-employed PT role (payroll taxes + WC + sick leave; no full benefits)</t>
  </si>
  <si>
    <t xml:space="preserve">Fiscal sponsor fee</t>
  </si>
  <si>
    <t xml:space="preserve">% of cash direct costs</t>
  </si>
  <si>
    <t xml:space="preserve">Social Good Fund 8% (&lt;$500K budgets); Community Partners 9% private/15% government — verified Aug 2026</t>
  </si>
  <si>
    <t xml:space="preserve">Contingency</t>
  </si>
  <si>
    <t xml:space="preserve">% of subtotal</t>
  </si>
  <si>
    <t xml:space="preserve">Below original 15%: partner-hosted model shifts facility/licensure risk to partner</t>
  </si>
  <si>
    <t xml:space="preserve">Volunteer prescriber value</t>
  </si>
  <si>
    <t xml:space="preserve">$/hr</t>
  </si>
  <si>
    <t xml:space="preserve">In-kind valuation only (grant match documentation); PMHNP market rate</t>
  </si>
  <si>
    <t xml:space="preserve">Volunteer support staff value</t>
  </si>
  <si>
    <t xml:space="preserve">In-kind valuation only</t>
  </si>
  <si>
    <t xml:space="preserve">Donated space value</t>
  </si>
  <si>
    <t xml:space="preserve">$/month</t>
  </si>
  <si>
    <t xml:space="preserve">In-kind valuation; church/partner clinical rooms 1 day/week</t>
  </si>
  <si>
    <t xml:space="preserve">Year-1 Cash Operating Budget — Volunteer Lean Launch (2027)</t>
  </si>
  <si>
    <t xml:space="preserve">Cash only. Volunteer labor, donated space, free EHR, and donated meds are valued on the 'In-Kind Value' tab — the clinic must stay safe if any single volunteer is absent (cross-coverage rule).</t>
  </si>
  <si>
    <t xml:space="preserve">Line item</t>
  </si>
  <si>
    <t xml:space="preserve">Basis / verification</t>
  </si>
  <si>
    <t xml:space="preserve">Benefits navigator / clinic coordinator (paid, part-time)</t>
  </si>
  <si>
    <t xml:space="preserve">Salary x FTE x (1+burden). Sponsor is employer of record.</t>
  </si>
  <si>
    <t xml:space="preserve">Malpractice gap + general liability (pre-FTCA)</t>
  </si>
  <si>
    <t xml:space="preserve">Broker-quote placeholder. HRSA Free Clinic FTCA deeming (verified: volunteers AND employees/contractors deemable; entity NOT covered; prospective only) should cut this line sharply once approved.</t>
  </si>
  <si>
    <t xml:space="preserve">Medication &amp; lab assistance fund (capped)</t>
  </si>
  <si>
    <t xml:space="preserve">Generics run $4–$15/mo cash (Cost Plus, verified); fund covers labs (lithium/CBC/CMP cash rates) + non-PAP gaps. PAPs cover the expensive brands.</t>
  </si>
  <si>
    <t xml:space="preserve">Technology (telehealth, phones, domain, misc software)</t>
  </si>
  <si>
    <t xml:space="preserve">EHR FREE via athenaGives (verified active 2026, free-clinic no-billing model required); OpenEMR fallback.</t>
  </si>
  <si>
    <t xml:space="preserve">Space contribution (utilities/cleaning share of donated site)</t>
  </si>
  <si>
    <t xml:space="preserve">Donated church/partner space, 1 day/wk. Riverside Free Clinic has run church-hosted at ~$40K/yr total for 21 years (verified).</t>
  </si>
  <si>
    <t xml:space="preserve">Clinical &amp; office supplies</t>
  </si>
  <si>
    <t xml:space="preserve">Outpatient psych scope — no procedures.</t>
  </si>
  <si>
    <t xml:space="preserve">Interpretation (phone line + materials)</t>
  </si>
  <si>
    <t xml:space="preserve">Bilingual volunteers first; paid line for other languages.</t>
  </si>
  <si>
    <t xml:space="preserve">Outreach &amp; printing (referral education)</t>
  </si>
  <si>
    <t xml:space="preserve">Referral-source education is the demand engine; 43–44% of IE homes speak a language other than English (verified).</t>
  </si>
  <si>
    <t xml:space="preserve">Government filing fees (SOS $30 + SI-100 $20 + IRS 1023 $600 + AG CT-1 $50)</t>
  </si>
  <si>
    <t xml:space="preserve">All four fees verified Aug 2026.</t>
  </si>
  <si>
    <t xml:space="preserve">Legal — scoped opinions (sponsor agmt, partner agmt, related-party)</t>
  </si>
  <si>
    <t xml:space="preserve">Far below original $85K lean line BECAUSE partner-operated + sponsored structure avoids licensure/CPOM buildout; still non-negotiable for IPMG-related flows.</t>
  </si>
  <si>
    <t xml:space="preserve">Memberships (NAFC + CAFCC) &amp; insurance admin</t>
  </si>
  <si>
    <t xml:space="preserve">NAFC = gateway to CVS/Direct Relief/athenaGives (verified).</t>
  </si>
  <si>
    <t xml:space="preserve">Bookkeeping supplement (beyond sponsor's back office)</t>
  </si>
  <si>
    <t xml:space="preserve">Sponsor covers core accounting inside its fee.</t>
  </si>
  <si>
    <t xml:space="preserve">Subtotal — cash direct costs</t>
  </si>
  <si>
    <t xml:space="preserve">TOTAL YEAR-1 CASH BUDGET</t>
  </si>
  <si>
    <t xml:space="preserve">Recommended additional raise: 3-month transition/closure reserve (board-designated, untouched)</t>
  </si>
  <si>
    <t xml:space="preserve">YEAR-1 FUNDRAISING TARGET (budget + reserve)</t>
  </si>
  <si>
    <t xml:space="preserve">Clinical Capacity and Unit Economics</t>
  </si>
  <si>
    <t xml:space="preserve">Capacity is bounded by safe volunteer staffing and handoff capacity — not by the size of the uncovered population (original model's discipline, kept).</t>
  </si>
  <si>
    <t xml:space="preserve">Metric</t>
  </si>
  <si>
    <t xml:space="preserve">Formula</t>
  </si>
  <si>
    <t xml:space="preserve">Scheduled visits / year</t>
  </si>
  <si>
    <t xml:space="preserve">prescribers x visits/day x days/wk x weeks</t>
  </si>
  <si>
    <t xml:space="preserve">Completed visits / year</t>
  </si>
  <si>
    <t xml:space="preserve">scheduled x (1 - no-show)</t>
  </si>
  <si>
    <t xml:space="preserve">Unique bridge patients / year</t>
  </si>
  <si>
    <t xml:space="preserve">completed / visits-per-patient</t>
  </si>
  <si>
    <t xml:space="preserve">Navigation-only episodes / year</t>
  </si>
  <si>
    <t xml:space="preserve">navigator coverage-rescue work</t>
  </si>
  <si>
    <t xml:space="preserve">Total people helped / year</t>
  </si>
  <si>
    <t xml:space="preserve">patients + navigation episodes</t>
  </si>
  <si>
    <t xml:space="preserve">Cash cost per completed visit</t>
  </si>
  <si>
    <t xml:space="preserve">total cash budget / completed visits</t>
  </si>
  <si>
    <t xml:space="preserve">Cash cost per unique patient</t>
  </si>
  <si>
    <t xml:space="preserve">Cash cost per person helped</t>
  </si>
  <si>
    <t xml:space="preserve">All-in cost per visit (cash + in-kind)</t>
  </si>
  <si>
    <t xml:space="preserve">for grant narratives: true resource cost</t>
  </si>
  <si>
    <t xml:space="preserve">Reference — original fully-paid model (for contrast)</t>
  </si>
  <si>
    <t xml:space="preserve">Original 'Lean' cost per completed visit</t>
  </si>
  <si>
    <t xml:space="preserve">Fully paid staff, $1.64M Year-1 opex / 2,626 visits</t>
  </si>
  <si>
    <t xml:space="preserve">Original 'Lean' minimum launch capital</t>
  </si>
  <si>
    <t xml:space="preserve">Preopening + Year 1 + 6-mo liquidity + 15% contingency</t>
  </si>
  <si>
    <t xml:space="preserve">NAFC sector reality (2025 report, verified)</t>
  </si>
  <si>
    <t xml:space="preserve">50% of 1,400+ US free clinics run on ≤$250K/yr; 92% of workforce is volunteer; 56% provide mental health on-site</t>
  </si>
  <si>
    <t xml:space="preserve">Precedents (verified)</t>
  </si>
  <si>
    <t xml:space="preserve">Iowa City Free Mental Health Clinic: psychiatric-only, biweekly, &lt;$50K/yr. Riverside Free Clinic: church-hosted, ~$40K/yr, 21 years. ALAS Augusta: monthly telepsych-only.</t>
  </si>
  <si>
    <t xml:space="preserve">Donated Resources — Valuation for Grant Match &amp; 990 Reporting</t>
  </si>
  <si>
    <t xml:space="preserve">Not required for safe operation of the cash budget; documents community leverage. Conservative valuations; keep volunteer time logs from day one.</t>
  </si>
  <si>
    <t xml:space="preserve">Item</t>
  </si>
  <si>
    <t xml:space="preserve">Basis</t>
  </si>
  <si>
    <t xml:space="preserve">Volunteer prescriber time</t>
  </si>
  <si>
    <t xml:space="preserve">prescribers x 8 hrs x weeks x $/hr</t>
  </si>
  <si>
    <t xml:space="preserve">Volunteer support staff time (MA + front desk, 2 people)</t>
  </si>
  <si>
    <t xml:space="preserve">2 x 8 hrs x weeks x $/hr</t>
  </si>
  <si>
    <t xml:space="preserve">Donated clinical space</t>
  </si>
  <si>
    <t xml:space="preserve">monthly value x 12</t>
  </si>
  <si>
    <t xml:space="preserve">Donated EHR (athenaGives)</t>
  </si>
  <si>
    <t xml:space="preserve">Vendor list-price basis</t>
  </si>
  <si>
    <t xml:space="preserve">Donated medications (PAP + Direct Relief, est.)</t>
  </si>
  <si>
    <t xml:space="preserve">Scales with census; wholesale-value basis</t>
  </si>
  <si>
    <t xml:space="preserve">TOTAL DOCUMENTED IN-KIND / YEAR</t>
  </si>
  <si>
    <t xml:space="preserve">Leverage ratio (in-kind per $1 cash)</t>
  </si>
  <si>
    <t xml:space="preserve">Year-1 Sources vs. Uses (Base scenario)</t>
  </si>
  <si>
    <t xml:space="preserve">No competitive grant is launch cash until awarded (original study's rule, kept). Timing matters: CommonSpirit funds, if won, arrive ~April 2027.</t>
  </si>
  <si>
    <t xml:space="preserve">Source</t>
  </si>
  <si>
    <t xml:space="preserve">Amount</t>
  </si>
  <si>
    <t xml:space="preserve">Status / timing</t>
  </si>
  <si>
    <t xml:space="preserve">Note</t>
  </si>
  <si>
    <t xml:space="preserve">Founder + IPMG-network seed gifts (unrestricted)</t>
  </si>
  <si>
    <t xml:space="preserve">Committed target — secure in writing Q4 2026</t>
  </si>
  <si>
    <t xml:space="preserve">The launch backbone; keeps IPMG share &lt;50% of a ~$99K budget only if paired with community funds — governance safeguards per study Section 8 apply</t>
  </si>
  <si>
    <t xml:space="preserve">CommonSpirit / Dignity SB grant (if awarded)</t>
  </si>
  <si>
    <t xml:space="preserve">Apply Sep 18, 2026; decision ~Jan; funds ~Apr 2027</t>
  </si>
  <si>
    <t xml:space="preserve">Award range $20K–$80K; budget conservatively</t>
  </si>
  <si>
    <t xml:space="preserve">Community small grants (IECF, Parkview, Stater Bros., LLUH)</t>
  </si>
  <si>
    <t xml:space="preserve">Rolling applications Q4 2026 – 2027</t>
  </si>
  <si>
    <t xml:space="preserve">Multiple small bets</t>
  </si>
  <si>
    <t xml:space="preserve">Individual + faith-community giving (Zeffy campaign)</t>
  </si>
  <si>
    <t xml:space="preserve">Live from Nov 2026</t>
  </si>
  <si>
    <t xml:space="preserve">'$125 = one visit; $35 = a month of medication'</t>
  </si>
  <si>
    <t xml:space="preserve">Corporate/misc (Kaiser event sponsorships, employer gifts)</t>
  </si>
  <si>
    <t xml:space="preserve">Opportunistic</t>
  </si>
  <si>
    <t xml:space="preserve">TOTAL IDENTIFIED SOURCES</t>
  </si>
  <si>
    <t xml:space="preserve">Use</t>
  </si>
  <si>
    <t xml:space="preserve">Year-1 cash budget (Base)</t>
  </si>
  <si>
    <t xml:space="preserve">3-month transition/closure reserve</t>
  </si>
  <si>
    <t xml:space="preserve">TOTAL USES (fundraising target)</t>
  </si>
  <si>
    <t xml:space="preserve">SURPLUS / (GAP)</t>
  </si>
  <si>
    <t xml:space="preserve">If negative: close with additional seed gifts, a second small-grant round, or scale navigator hours to Floor until funded. Do NOT open the clinic day without the reserve.</t>
  </si>
  <si>
    <t xml:space="preserve">Three-Year Growth Path (Base trajectory)</t>
  </si>
  <si>
    <t xml:space="preserve">Year 2 doubles clinic days; Year 3 holds two days and adds telepsych overflow. Own-license decision is a Year-3 GATE, not a plan — stay partner-hosted if outcomes are strong (original study's Option D logic).</t>
  </si>
  <si>
    <t xml:space="preserve">2027 (Y1)</t>
  </si>
  <si>
    <t xml:space="preserve">2028 (Y2)</t>
  </si>
  <si>
    <t xml:space="preserve">2029 (Y3)</t>
  </si>
  <si>
    <t xml:space="preserve">Driver</t>
  </si>
  <si>
    <t xml:space="preserve">Y3 adds telepsych half-day</t>
  </si>
  <si>
    <t xml:space="preserve">Cost scale factor vs Y1</t>
  </si>
  <si>
    <t xml:space="preserve">0.85 = shared fixed costs don't double</t>
  </si>
  <si>
    <t xml:space="preserve">Cash budget</t>
  </si>
  <si>
    <t xml:space="preserve">4%/yr inflation (original model input)</t>
  </si>
  <si>
    <t xml:space="preserve">Completed visits</t>
  </si>
  <si>
    <t xml:space="preserve">Unique patients</t>
  </si>
  <si>
    <t xml:space="preserve">Cash cost per visit</t>
  </si>
  <si>
    <t xml:space="preserve">Year-2 gate (before adding day 2):</t>
  </si>
  <si>
    <t xml:space="preserve">Signed partner renewal · 4+ reliable volunteer prescribers · navigator retention · funding for full Y2 budget + reserve in hand · no unresolved safety events</t>
  </si>
  <si>
    <t xml:space="preserve">Year-3 license gate (only if pursuing own site):</t>
  </si>
  <si>
    <t xml:space="preserve">CDPH free-clinic license path (fee $1,646, 6–12 months, verified) · 12 months committed operating support · FTCA deeming active · IPMG-independence safeguards per study Section 8 · else STAY partner-hosted</t>
  </si>
  <si>
    <t xml:space="preserve">Verification Corrections Applied to the Original Study/Workbook</t>
  </si>
  <si>
    <t xml:space="preserve">Full claim-by-claim log with sources: see the companion verification report (docx). Summary: ~60 material claims checked; the study was accurate on the large majority; these are the corrections.</t>
  </si>
  <si>
    <t xml:space="preserve">#</t>
  </si>
  <si>
    <t xml:space="preserve">Original said</t>
  </si>
  <si>
    <t xml:space="preserve">Verified reality (Aug 13, 2026)</t>
  </si>
  <si>
    <t xml:space="preserve">Impact</t>
  </si>
  <si>
    <t xml:space="preserve">DHCS projection implies ~1.8M statewide losses (basis for local 69.9K–145.5K range)</t>
  </si>
  <si>
    <t xml:space="preserve">DHCS Jan 2026: 'about 2 million at risk.' DHCS projections: 1.1M (May, work rule only) to 1.3M (Aug, work rule + 6-month checks). UC Berkeley/UCLA: 2.98M fewer enrolled by 2028 incl. state changes (county-level file available).</t>
  </si>
  <si>
    <t xml:space="preserve">Local base case ~116K holds up (expansion-share math lands 110K–130K); the LOW case is likely optimistic. Plan to base, not low.</t>
  </si>
  <si>
    <t xml:space="preserve">San Bernardino under-65 uninsured 8.1%</t>
  </si>
  <si>
    <t xml:space="preserve">Census QuickFacts: 8.8% (Riverside 8.0% correct)</t>
  </si>
  <si>
    <t xml:space="preserve">Minor; strengthens the need case</t>
  </si>
  <si>
    <t xml:space="preserve">Healthcare min wage: 'other covered facilities may have a $23 schedule'</t>
  </si>
  <si>
    <t xml:space="preserve">$23→$24→$25 ladder = LARGE systems (10,000+ FTE) &amp; dialysis — already $25 since 7/1/26. Community clinics: $22 now, $25 from 7/1/27 (study's clinic schedule was right). 'Other facilities': $21→$23 (7/1/26)→$25 (7/1/28).</t>
  </si>
  <si>
    <t xml:space="preserve">Labels only; clinic math unchanged. True volunteers unaffected; paid navigator above floor either way</t>
  </si>
  <si>
    <t xml:space="preserve">Retroactive coverage: 1 month for 'childless' New Adult</t>
  </si>
  <si>
    <t xml:space="preserve">Applies to the ACA expansion group generally — drop 'childless'</t>
  </si>
  <si>
    <t xml:space="preserve">Wording</t>
  </si>
  <si>
    <t xml:space="preserve">Exemption list: 'parents/caregivers'</t>
  </si>
  <si>
    <t xml:space="preserve">Parents/caretakers of a child 13 or under (or of a disabled individual); veterans with total disability added by CMS rule</t>
  </si>
  <si>
    <t xml:space="preserve">Navigator screening scripts must use the precise definition</t>
  </si>
  <si>
    <t xml:space="preserve">Elevance BH RFP excludes 'direct clinical care in a clinical setting'</t>
  </si>
  <si>
    <t xml:space="preserve">No such exclusion in the official RFP PDF</t>
  </si>
  <si>
    <t xml:space="preserve">UPGRADE: a clinical + navigation proposal is eligible on its face — apply Jan 2027</t>
  </si>
  <si>
    <t xml:space="preserve">CalCRG row implied fiscal-sponsor route</t>
  </si>
  <si>
    <t xml:space="preserve">Official criteria require the applicant itself to hold 6+ months existence and its own exempt status; no sponsor workaround found</t>
  </si>
  <si>
    <t xml:space="preserve">Study's own no-go conclusion was right; DB row overstated</t>
  </si>
  <si>
    <t xml:space="preserve">16 CCR §1340 framed as current-and-improving ('current text says…')</t>
  </si>
  <si>
    <t xml:space="preserve">Text is real but has stood since a 1980 amendment — stable, not new</t>
  </si>
  <si>
    <t xml:space="preserve">None; strengthens reliability of the charitable-employment theory</t>
  </si>
  <si>
    <t xml:space="preserve">AB 890: '104 after 3 years/4600 hours as 103'</t>
  </si>
  <si>
    <t xml:space="preserve">104 requires the 4,600-hr/3-yr transition-to-practice PLUS 3 additional years in good standing as an NP (BRN)</t>
  </si>
  <si>
    <t xml:space="preserve">Volunteer-credentialing files must document the exact route; timeline expectations for NP colleagues</t>
  </si>
  <si>
    <t xml:space="preserve">FTCA: 'only approved/deemed eligible individuals' (volunteers implied)</t>
  </si>
  <si>
    <t xml:space="preserve">Verified: volunteers AND officers/board members/employees/contractors of a qualifying free clinic are deemable; entity never covered; no third-party reimbursement allowed; prospective only</t>
  </si>
  <si>
    <t xml:space="preserve">OPPORTUNITY: a small paid navigator/stipended structure can still be FTCA-compatible; stipends &gt;$500/yr do break Volunteer Protection Act status — rely on FTCA + gap policy instead</t>
  </si>
  <si>
    <t xml:space="preserve">CDPH licensure required unless exemption; intermittent-clinic details unstated</t>
  </si>
  <si>
    <t xml:space="preserve">Verified detail: ONLY an already-licensed primary care community/free clinic can sponsor an intermittent (&lt;40 hr/wk) exempt site — a new lay charity cannot self-sponsor one</t>
  </si>
  <si>
    <t xml:space="preserve">LOCKS the strategy: partner with a licensed free clinic (e.g., Lestonnac — 4 IE sites, verified) as host/sponsor; own license only at Phase 2</t>
  </si>
  <si>
    <t xml:space="preserve">Workbook arithmetic</t>
  </si>
  <si>
    <t xml:space="preserve">Recomputed: all formulas internally consistent; totals check (Lean $3.08M etc. reproduce). The issue is scope, not math — it models only fully-paid staffing and explicitly excludes volunteer capacity</t>
  </si>
  <si>
    <t xml:space="preserve">v2 adds the volunteer scenario rather than 'fixing' numbers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</si>
</sst>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"/>
    <numFmt numFmtId="166" formatCode="0.0#"/>
    <numFmt numFmtId="167" formatCode="0.0%"/>
    <numFmt numFmtId="168" formatCode="\$#,##0"/>
    <numFmt numFmtId="169" formatCode="0.0\x"/>
    <numFmt numFmtId="170" formatCode="\$#,##0;&quot;($&quot;#,##0\)"/>
    <numFmt numFmtId="171" formatCode="0.0"/>
    <numFmt numFmtId="172" formatCode="0.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23F33"/>
      <name val="Arial"/>
      <family val="0"/>
      <charset val="1"/>
    </font>
    <font>
      <b val="true"/>
      <sz val="11"/>
      <color rgb="FF123F33"/>
      <name val="Arial"/>
      <family val="0"/>
      <charset val="1"/>
    </font>
    <font>
      <b val="true"/>
      <sz val="10"/>
      <color rgb="FF1A2420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23F33"/>
        <bgColor rgb="FF003300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C9C9"/>
      </left>
      <right style="thin">
        <color rgb="FFC9C9C9"/>
      </right>
      <top style="thin">
        <color rgb="FFC9C9C9"/>
      </top>
      <bottom style="thin">
        <color rgb="FFC9C9C9"/>
      </bottom>
      <diagonal/>
    </border>
    <border diagonalUp="false" diagonalDown="false">
      <left style="thin">
        <color rgb="FFC9C9C9"/>
      </left>
      <right/>
      <top style="thin">
        <color rgb="FFC9C9C9"/>
      </top>
      <bottom style="thin">
        <color rgb="FFC9C9C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1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1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12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0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1" fontId="1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2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23F33"/>
      <rgbColor rgb="FF339966"/>
      <rgbColor rgb="FF003300"/>
      <rgbColor rgb="FF333300"/>
      <rgbColor rgb="FF993300"/>
      <rgbColor rgb="FF993366"/>
      <rgbColor rgb="FF333399"/>
      <rgbColor rgb="FF1A242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10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5" customFormat="false" ht="15" hidden="false" customHeight="false" outlineLevel="0" collapsed="false">
      <c r="A5" s="3" t="s">
        <v>2</v>
      </c>
      <c r="B5" s="4" t="s">
        <v>3</v>
      </c>
    </row>
    <row r="7" customFormat="false" ht="46.25" hidden="false" customHeight="false" outlineLevel="0" collapsed="false">
      <c r="A7" s="3" t="s">
        <v>4</v>
      </c>
      <c r="B7" s="4" t="s">
        <v>5</v>
      </c>
    </row>
    <row r="9" customFormat="false" ht="35.05" hidden="false" customHeight="false" outlineLevel="0" collapsed="false">
      <c r="A9" s="3" t="s">
        <v>6</v>
      </c>
      <c r="B9" s="4" t="s">
        <v>7</v>
      </c>
    </row>
    <row r="11" customFormat="false" ht="23.85" hidden="false" customHeight="false" outlineLevel="0" collapsed="false">
      <c r="A11" s="3" t="s">
        <v>8</v>
      </c>
      <c r="B11" s="4" t="s">
        <v>9</v>
      </c>
    </row>
    <row r="13" customFormat="false" ht="23.85" hidden="false" customHeight="false" outlineLevel="0" collapsed="false">
      <c r="A13" s="3" t="s">
        <v>10</v>
      </c>
      <c r="B13" s="4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4" min="2" style="0" width="10"/>
    <col collapsed="false" customWidth="true" hidden="false" outlineLevel="0" max="5" min="5" style="0" width="16"/>
    <col collapsed="false" customWidth="true" hidden="false" outlineLevel="0" max="6" min="6" style="0" width="60"/>
  </cols>
  <sheetData>
    <row r="1" customFormat="false" ht="17.35" hidden="false" customHeight="false" outlineLevel="0" collapsed="false">
      <c r="A1" s="1" t="s">
        <v>12</v>
      </c>
    </row>
    <row r="2" customFormat="false" ht="15" hidden="false" customHeight="false" outlineLevel="0" collapsed="false">
      <c r="A2" s="5" t="s">
        <v>13</v>
      </c>
    </row>
    <row r="4" customFormat="false" ht="15" hidden="false" customHeight="false" outlineLevel="0" collapsed="false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</row>
    <row r="5" customFormat="false" ht="15" hidden="false" customHeight="false" outlineLevel="0" collapsed="false">
      <c r="A5" s="3" t="s">
        <v>20</v>
      </c>
      <c r="B5" s="7" t="n">
        <v>1</v>
      </c>
      <c r="C5" s="7" t="n">
        <v>1</v>
      </c>
      <c r="D5" s="7" t="n">
        <v>1</v>
      </c>
      <c r="E5" s="8" t="s">
        <v>21</v>
      </c>
      <c r="F5" s="4" t="s">
        <v>22</v>
      </c>
    </row>
    <row r="6" customFormat="false" ht="15" hidden="false" customHeight="false" outlineLevel="0" collapsed="false">
      <c r="A6" s="3" t="s">
        <v>23</v>
      </c>
      <c r="B6" s="7" t="n">
        <v>46</v>
      </c>
      <c r="C6" s="7" t="n">
        <v>46</v>
      </c>
      <c r="D6" s="7" t="n">
        <v>46</v>
      </c>
      <c r="E6" s="8" t="s">
        <v>24</v>
      </c>
      <c r="F6" s="4" t="s">
        <v>25</v>
      </c>
    </row>
    <row r="7" customFormat="false" ht="23.85" hidden="false" customHeight="false" outlineLevel="0" collapsed="false">
      <c r="A7" s="3" t="s">
        <v>26</v>
      </c>
      <c r="B7" s="9" t="n">
        <v>1.5</v>
      </c>
      <c r="C7" s="10" t="n">
        <v>2</v>
      </c>
      <c r="D7" s="9" t="n">
        <v>2.5</v>
      </c>
      <c r="E7" s="8" t="s">
        <v>27</v>
      </c>
      <c r="F7" s="4" t="s">
        <v>28</v>
      </c>
    </row>
    <row r="8" customFormat="false" ht="23.85" hidden="false" customHeight="false" outlineLevel="0" collapsed="false">
      <c r="A8" s="3" t="s">
        <v>29</v>
      </c>
      <c r="B8" s="7" t="n">
        <v>9</v>
      </c>
      <c r="C8" s="7" t="n">
        <v>9</v>
      </c>
      <c r="D8" s="7" t="n">
        <v>9</v>
      </c>
      <c r="E8" s="8" t="s">
        <v>30</v>
      </c>
      <c r="F8" s="4" t="s">
        <v>31</v>
      </c>
    </row>
    <row r="9" customFormat="false" ht="23.85" hidden="false" customHeight="false" outlineLevel="0" collapsed="false">
      <c r="A9" s="3" t="s">
        <v>32</v>
      </c>
      <c r="B9" s="11" t="n">
        <v>0.2</v>
      </c>
      <c r="C9" s="11" t="n">
        <v>0.2</v>
      </c>
      <c r="D9" s="11" t="n">
        <v>0.2</v>
      </c>
      <c r="E9" s="8" t="s">
        <v>33</v>
      </c>
      <c r="F9" s="4" t="s">
        <v>34</v>
      </c>
    </row>
    <row r="10" customFormat="false" ht="15" hidden="false" customHeight="false" outlineLevel="0" collapsed="false">
      <c r="A10" s="3" t="s">
        <v>35</v>
      </c>
      <c r="B10" s="12" t="n">
        <v>4</v>
      </c>
      <c r="C10" s="12" t="n">
        <v>4</v>
      </c>
      <c r="D10" s="12" t="n">
        <v>4</v>
      </c>
      <c r="E10" s="8" t="s">
        <v>30</v>
      </c>
      <c r="F10" s="4" t="s">
        <v>36</v>
      </c>
    </row>
    <row r="11" customFormat="false" ht="15" hidden="false" customHeight="false" outlineLevel="0" collapsed="false">
      <c r="A11" s="3" t="s">
        <v>37</v>
      </c>
      <c r="B11" s="7" t="n">
        <v>150</v>
      </c>
      <c r="C11" s="7" t="n">
        <v>250</v>
      </c>
      <c r="D11" s="7" t="n">
        <v>300</v>
      </c>
      <c r="E11" s="8" t="s">
        <v>38</v>
      </c>
      <c r="F11" s="4" t="s">
        <v>39</v>
      </c>
    </row>
    <row r="12" customFormat="false" ht="23.85" hidden="false" customHeight="false" outlineLevel="0" collapsed="false">
      <c r="A12" s="3" t="s">
        <v>40</v>
      </c>
      <c r="B12" s="9" t="n">
        <v>0.3</v>
      </c>
      <c r="C12" s="9" t="n">
        <v>0.45</v>
      </c>
      <c r="D12" s="9" t="n">
        <v>0.6</v>
      </c>
      <c r="E12" s="8" t="s">
        <v>41</v>
      </c>
      <c r="F12" s="4" t="s">
        <v>42</v>
      </c>
    </row>
    <row r="13" customFormat="false" ht="15" hidden="false" customHeight="false" outlineLevel="0" collapsed="false">
      <c r="A13" s="3" t="s">
        <v>43</v>
      </c>
      <c r="B13" s="13" t="n">
        <v>70000</v>
      </c>
      <c r="C13" s="13" t="n">
        <v>70000</v>
      </c>
      <c r="D13" s="13" t="n">
        <v>70000</v>
      </c>
      <c r="E13" s="8" t="s">
        <v>44</v>
      </c>
      <c r="F13" s="4" t="s">
        <v>45</v>
      </c>
    </row>
    <row r="14" customFormat="false" ht="23.85" hidden="false" customHeight="false" outlineLevel="0" collapsed="false">
      <c r="A14" s="3" t="s">
        <v>46</v>
      </c>
      <c r="B14" s="11" t="n">
        <v>0.18</v>
      </c>
      <c r="C14" s="11" t="n">
        <v>0.18</v>
      </c>
      <c r="D14" s="11" t="n">
        <v>0.18</v>
      </c>
      <c r="E14" s="8" t="s">
        <v>47</v>
      </c>
      <c r="F14" s="4" t="s">
        <v>48</v>
      </c>
    </row>
    <row r="15" customFormat="false" ht="23.85" hidden="false" customHeight="false" outlineLevel="0" collapsed="false">
      <c r="A15" s="3" t="s">
        <v>49</v>
      </c>
      <c r="B15" s="11" t="n">
        <v>0.08</v>
      </c>
      <c r="C15" s="11" t="n">
        <v>0.08</v>
      </c>
      <c r="D15" s="11" t="n">
        <v>0.08</v>
      </c>
      <c r="E15" s="8" t="s">
        <v>50</v>
      </c>
      <c r="F15" s="4" t="s">
        <v>51</v>
      </c>
    </row>
    <row r="16" customFormat="false" ht="23.85" hidden="false" customHeight="false" outlineLevel="0" collapsed="false">
      <c r="A16" s="3" t="s">
        <v>52</v>
      </c>
      <c r="B16" s="11" t="n">
        <v>0.1</v>
      </c>
      <c r="C16" s="11" t="n">
        <v>0.1</v>
      </c>
      <c r="D16" s="11" t="n">
        <v>0.1</v>
      </c>
      <c r="E16" s="8" t="s">
        <v>53</v>
      </c>
      <c r="F16" s="4" t="s">
        <v>54</v>
      </c>
    </row>
    <row r="17" customFormat="false" ht="15" hidden="false" customHeight="false" outlineLevel="0" collapsed="false">
      <c r="A17" s="3" t="s">
        <v>55</v>
      </c>
      <c r="B17" s="13" t="n">
        <v>150</v>
      </c>
      <c r="C17" s="13" t="n">
        <v>150</v>
      </c>
      <c r="D17" s="13" t="n">
        <v>150</v>
      </c>
      <c r="E17" s="8" t="s">
        <v>56</v>
      </c>
      <c r="F17" s="4" t="s">
        <v>57</v>
      </c>
    </row>
    <row r="18" customFormat="false" ht="15" hidden="false" customHeight="false" outlineLevel="0" collapsed="false">
      <c r="A18" s="3" t="s">
        <v>58</v>
      </c>
      <c r="B18" s="13" t="n">
        <v>25</v>
      </c>
      <c r="C18" s="13" t="n">
        <v>25</v>
      </c>
      <c r="D18" s="13" t="n">
        <v>25</v>
      </c>
      <c r="E18" s="8" t="s">
        <v>56</v>
      </c>
      <c r="F18" s="4" t="s">
        <v>59</v>
      </c>
    </row>
    <row r="19" customFormat="false" ht="15" hidden="false" customHeight="false" outlineLevel="0" collapsed="false">
      <c r="A19" s="3" t="s">
        <v>60</v>
      </c>
      <c r="B19" s="13" t="n">
        <v>1000</v>
      </c>
      <c r="C19" s="13" t="n">
        <v>1000</v>
      </c>
      <c r="D19" s="13" t="n">
        <v>1200</v>
      </c>
      <c r="E19" s="8" t="s">
        <v>61</v>
      </c>
      <c r="F19" s="4" t="s">
        <v>62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4" min="2" style="0" width="13"/>
    <col collapsed="false" customWidth="true" hidden="false" outlineLevel="0" max="5" min="5" style="0" width="62"/>
  </cols>
  <sheetData>
    <row r="1" customFormat="false" ht="17.35" hidden="false" customHeight="false" outlineLevel="0" collapsed="false">
      <c r="A1" s="1" t="s">
        <v>63</v>
      </c>
    </row>
    <row r="2" customFormat="false" ht="15" hidden="false" customHeight="false" outlineLevel="0" collapsed="false">
      <c r="A2" s="5" t="s">
        <v>64</v>
      </c>
    </row>
    <row r="4" customFormat="false" ht="15" hidden="false" customHeight="false" outlineLevel="0" collapsed="false">
      <c r="A4" s="6" t="s">
        <v>65</v>
      </c>
      <c r="B4" s="6" t="s">
        <v>15</v>
      </c>
      <c r="C4" s="6" t="s">
        <v>16</v>
      </c>
      <c r="D4" s="6" t="s">
        <v>17</v>
      </c>
      <c r="E4" s="6" t="s">
        <v>66</v>
      </c>
    </row>
    <row r="5" customFormat="false" ht="15" hidden="false" customHeight="false" outlineLevel="0" collapsed="false">
      <c r="A5" s="14" t="s">
        <v>67</v>
      </c>
      <c r="B5" s="15" t="n">
        <f aca="false">Assumptions!B12*Assumptions!B13*(1+Assumptions!B14)</f>
        <v>24780</v>
      </c>
      <c r="C5" s="15" t="n">
        <f aca="false">Assumptions!C12*Assumptions!C13*(1+Assumptions!C14)</f>
        <v>37170</v>
      </c>
      <c r="D5" s="15" t="n">
        <f aca="false">Assumptions!D12*Assumptions!D13*(1+Assumptions!D14)</f>
        <v>49560</v>
      </c>
      <c r="E5" s="4" t="s">
        <v>68</v>
      </c>
    </row>
    <row r="6" customFormat="false" ht="35.05" hidden="false" customHeight="false" outlineLevel="0" collapsed="false">
      <c r="A6" s="14" t="s">
        <v>69</v>
      </c>
      <c r="B6" s="13" t="n">
        <v>6000</v>
      </c>
      <c r="C6" s="13" t="n">
        <v>7000</v>
      </c>
      <c r="D6" s="13" t="n">
        <v>8000</v>
      </c>
      <c r="E6" s="4" t="s">
        <v>70</v>
      </c>
    </row>
    <row r="7" customFormat="false" ht="35.05" hidden="false" customHeight="false" outlineLevel="0" collapsed="false">
      <c r="A7" s="14" t="s">
        <v>71</v>
      </c>
      <c r="B7" s="13" t="n">
        <v>10000</v>
      </c>
      <c r="C7" s="13" t="n">
        <v>15000</v>
      </c>
      <c r="D7" s="13" t="n">
        <v>20000</v>
      </c>
      <c r="E7" s="4" t="s">
        <v>72</v>
      </c>
    </row>
    <row r="8" customFormat="false" ht="23.85" hidden="false" customHeight="false" outlineLevel="0" collapsed="false">
      <c r="A8" s="14" t="s">
        <v>73</v>
      </c>
      <c r="B8" s="13" t="n">
        <v>2400</v>
      </c>
      <c r="C8" s="13" t="n">
        <v>3000</v>
      </c>
      <c r="D8" s="13" t="n">
        <v>3600</v>
      </c>
      <c r="E8" s="4" t="s">
        <v>74</v>
      </c>
    </row>
    <row r="9" customFormat="false" ht="23.85" hidden="false" customHeight="false" outlineLevel="0" collapsed="false">
      <c r="A9" s="14" t="s">
        <v>75</v>
      </c>
      <c r="B9" s="13" t="n">
        <v>2400</v>
      </c>
      <c r="C9" s="13" t="n">
        <v>3600</v>
      </c>
      <c r="D9" s="13" t="n">
        <v>4800</v>
      </c>
      <c r="E9" s="4" t="s">
        <v>76</v>
      </c>
    </row>
    <row r="10" customFormat="false" ht="15" hidden="false" customHeight="false" outlineLevel="0" collapsed="false">
      <c r="A10" s="14" t="s">
        <v>77</v>
      </c>
      <c r="B10" s="13" t="n">
        <v>2000</v>
      </c>
      <c r="C10" s="13" t="n">
        <v>2500</v>
      </c>
      <c r="D10" s="13" t="n">
        <v>3000</v>
      </c>
      <c r="E10" s="4" t="s">
        <v>78</v>
      </c>
    </row>
    <row r="11" customFormat="false" ht="15" hidden="false" customHeight="false" outlineLevel="0" collapsed="false">
      <c r="A11" s="14" t="s">
        <v>79</v>
      </c>
      <c r="B11" s="13" t="n">
        <v>1000</v>
      </c>
      <c r="C11" s="13" t="n">
        <v>1500</v>
      </c>
      <c r="D11" s="13" t="n">
        <v>2000</v>
      </c>
      <c r="E11" s="4" t="s">
        <v>80</v>
      </c>
    </row>
    <row r="12" customFormat="false" ht="23.85" hidden="false" customHeight="false" outlineLevel="0" collapsed="false">
      <c r="A12" s="14" t="s">
        <v>81</v>
      </c>
      <c r="B12" s="13" t="n">
        <v>2000</v>
      </c>
      <c r="C12" s="13" t="n">
        <v>3000</v>
      </c>
      <c r="D12" s="13" t="n">
        <v>4000</v>
      </c>
      <c r="E12" s="4" t="s">
        <v>82</v>
      </c>
    </row>
    <row r="13" customFormat="false" ht="23.85" hidden="false" customHeight="false" outlineLevel="0" collapsed="false">
      <c r="A13" s="14" t="s">
        <v>83</v>
      </c>
      <c r="B13" s="13" t="n">
        <v>700</v>
      </c>
      <c r="C13" s="13" t="n">
        <v>700</v>
      </c>
      <c r="D13" s="13" t="n">
        <v>700</v>
      </c>
      <c r="E13" s="4" t="s">
        <v>84</v>
      </c>
    </row>
    <row r="14" customFormat="false" ht="35.05" hidden="false" customHeight="false" outlineLevel="0" collapsed="false">
      <c r="A14" s="14" t="s">
        <v>85</v>
      </c>
      <c r="B14" s="13" t="n">
        <v>5000</v>
      </c>
      <c r="C14" s="13" t="n">
        <v>7000</v>
      </c>
      <c r="D14" s="13" t="n">
        <v>10000</v>
      </c>
      <c r="E14" s="4" t="s">
        <v>86</v>
      </c>
    </row>
    <row r="15" customFormat="false" ht="15" hidden="false" customHeight="false" outlineLevel="0" collapsed="false">
      <c r="A15" s="14" t="s">
        <v>87</v>
      </c>
      <c r="B15" s="13" t="n">
        <v>1000</v>
      </c>
      <c r="C15" s="13" t="n">
        <v>1000</v>
      </c>
      <c r="D15" s="13" t="n">
        <v>1000</v>
      </c>
      <c r="E15" s="4" t="s">
        <v>88</v>
      </c>
    </row>
    <row r="16" customFormat="false" ht="15" hidden="false" customHeight="false" outlineLevel="0" collapsed="false">
      <c r="A16" s="14" t="s">
        <v>89</v>
      </c>
      <c r="B16" s="13" t="n">
        <v>1200</v>
      </c>
      <c r="C16" s="13" t="n">
        <v>1500</v>
      </c>
      <c r="D16" s="13" t="n">
        <v>1800</v>
      </c>
      <c r="E16" s="4" t="s">
        <v>90</v>
      </c>
    </row>
    <row r="17" customFormat="false" ht="15" hidden="false" customHeight="false" outlineLevel="0" collapsed="false">
      <c r="A17" s="3" t="s">
        <v>91</v>
      </c>
      <c r="B17" s="16" t="n">
        <f aca="false">SUM(B5:B16)</f>
        <v>58480</v>
      </c>
      <c r="C17" s="16" t="n">
        <f aca="false">SUM(C5:C16)</f>
        <v>82970</v>
      </c>
      <c r="D17" s="16" t="n">
        <f aca="false">SUM(D5:D16)</f>
        <v>108460</v>
      </c>
    </row>
    <row r="18" customFormat="false" ht="15" hidden="false" customHeight="false" outlineLevel="0" collapsed="false">
      <c r="A18" s="3" t="s">
        <v>49</v>
      </c>
      <c r="B18" s="15" t="n">
        <f aca="false">B17*Assumptions!B15</f>
        <v>4678.4</v>
      </c>
      <c r="C18" s="15" t="n">
        <f aca="false">C17*Assumptions!C15</f>
        <v>6637.6</v>
      </c>
      <c r="D18" s="15" t="n">
        <f aca="false">D17*Assumptions!D15</f>
        <v>8676.8</v>
      </c>
    </row>
    <row r="19" customFormat="false" ht="15" hidden="false" customHeight="false" outlineLevel="0" collapsed="false">
      <c r="A19" s="3" t="s">
        <v>52</v>
      </c>
      <c r="B19" s="15" t="n">
        <f aca="false">(B17+B18)*Assumptions!B16</f>
        <v>6315.84</v>
      </c>
      <c r="C19" s="15" t="n">
        <f aca="false">(C17+C18)*Assumptions!C16</f>
        <v>8960.76</v>
      </c>
      <c r="D19" s="15" t="n">
        <f aca="false">(D17+D18)*Assumptions!D16</f>
        <v>11713.68</v>
      </c>
    </row>
    <row r="20" customFormat="false" ht="15" hidden="false" customHeight="false" outlineLevel="0" collapsed="false">
      <c r="A20" s="17" t="s">
        <v>92</v>
      </c>
      <c r="B20" s="18" t="n">
        <f aca="false">B17+B18+B19</f>
        <v>69474.24</v>
      </c>
      <c r="C20" s="18" t="n">
        <f aca="false">C17+C18+C19</f>
        <v>98568.36</v>
      </c>
      <c r="D20" s="18" t="n">
        <f aca="false">D17+D18+D19</f>
        <v>128850.48</v>
      </c>
    </row>
    <row r="22" customFormat="false" ht="23.85" hidden="false" customHeight="false" outlineLevel="0" collapsed="false">
      <c r="A22" s="14" t="s">
        <v>93</v>
      </c>
      <c r="B22" s="16" t="n">
        <f aca="false">B20/12*3</f>
        <v>17368.56</v>
      </c>
      <c r="C22" s="16" t="n">
        <f aca="false">C20/12*3</f>
        <v>24642.09</v>
      </c>
      <c r="D22" s="16" t="n">
        <f aca="false">D20/12*3</f>
        <v>32212.62</v>
      </c>
    </row>
    <row r="23" customFormat="false" ht="15" hidden="false" customHeight="false" outlineLevel="0" collapsed="false">
      <c r="A23" s="3" t="s">
        <v>94</v>
      </c>
      <c r="B23" s="16" t="n">
        <f aca="false">B20+B22</f>
        <v>86842.8</v>
      </c>
      <c r="C23" s="16" t="n">
        <f aca="false">C20+C22</f>
        <v>123210.45</v>
      </c>
      <c r="D23" s="16" t="n">
        <f aca="false">D20+D22</f>
        <v>161063.1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4" min="2" style="0" width="13"/>
    <col collapsed="false" customWidth="true" hidden="false" outlineLevel="0" max="5" min="5" style="0" width="52"/>
  </cols>
  <sheetData>
    <row r="1" customFormat="false" ht="17.35" hidden="false" customHeight="false" outlineLevel="0" collapsed="false">
      <c r="A1" s="1" t="s">
        <v>95</v>
      </c>
    </row>
    <row r="2" customFormat="false" ht="15" hidden="false" customHeight="false" outlineLevel="0" collapsed="false">
      <c r="A2" s="5" t="s">
        <v>96</v>
      </c>
    </row>
    <row r="4" customFormat="false" ht="15" hidden="false" customHeight="false" outlineLevel="0" collapsed="false">
      <c r="A4" s="6" t="s">
        <v>97</v>
      </c>
      <c r="B4" s="6" t="s">
        <v>15</v>
      </c>
      <c r="C4" s="6" t="s">
        <v>16</v>
      </c>
      <c r="D4" s="6" t="s">
        <v>17</v>
      </c>
      <c r="E4" s="6" t="s">
        <v>98</v>
      </c>
    </row>
    <row r="5" customFormat="false" ht="15" hidden="false" customHeight="false" outlineLevel="0" collapsed="false">
      <c r="A5" s="3" t="s">
        <v>99</v>
      </c>
      <c r="B5" s="19" t="n">
        <f aca="false">Assumptions!B7*Assumptions!B8*Assumptions!B5*Assumptions!B6</f>
        <v>621</v>
      </c>
      <c r="C5" s="19" t="n">
        <f aca="false">Assumptions!C7*Assumptions!C8*Assumptions!C5*Assumptions!C6</f>
        <v>828</v>
      </c>
      <c r="D5" s="19" t="n">
        <f aca="false">Assumptions!D7*Assumptions!D8*Assumptions!D5*Assumptions!D6</f>
        <v>1035</v>
      </c>
      <c r="E5" s="20" t="s">
        <v>100</v>
      </c>
    </row>
    <row r="6" customFormat="false" ht="15" hidden="false" customHeight="false" outlineLevel="0" collapsed="false">
      <c r="A6" s="3" t="s">
        <v>101</v>
      </c>
      <c r="B6" s="19" t="n">
        <f aca="false">B5*(1-Assumptions!B9)</f>
        <v>496.8</v>
      </c>
      <c r="C6" s="19" t="n">
        <f aca="false">C5*(1-Assumptions!C9)</f>
        <v>662.4</v>
      </c>
      <c r="D6" s="19" t="n">
        <f aca="false">D5*(1-Assumptions!D9)</f>
        <v>828</v>
      </c>
      <c r="E6" s="20" t="s">
        <v>102</v>
      </c>
    </row>
    <row r="7" customFormat="false" ht="15" hidden="false" customHeight="false" outlineLevel="0" collapsed="false">
      <c r="A7" s="3" t="s">
        <v>103</v>
      </c>
      <c r="B7" s="19" t="n">
        <f aca="false">B6/Assumptions!B10</f>
        <v>124.2</v>
      </c>
      <c r="C7" s="19" t="n">
        <f aca="false">C6/Assumptions!C10</f>
        <v>165.6</v>
      </c>
      <c r="D7" s="19" t="n">
        <f aca="false">D6/Assumptions!D10</f>
        <v>207</v>
      </c>
      <c r="E7" s="20" t="s">
        <v>104</v>
      </c>
    </row>
    <row r="8" customFormat="false" ht="15" hidden="false" customHeight="false" outlineLevel="0" collapsed="false">
      <c r="A8" s="3" t="s">
        <v>105</v>
      </c>
      <c r="B8" s="19" t="n">
        <f aca="false">Assumptions!B11</f>
        <v>150</v>
      </c>
      <c r="C8" s="19" t="n">
        <f aca="false">Assumptions!C11</f>
        <v>250</v>
      </c>
      <c r="D8" s="19" t="n">
        <f aca="false">Assumptions!D11</f>
        <v>300</v>
      </c>
      <c r="E8" s="20" t="s">
        <v>106</v>
      </c>
    </row>
    <row r="9" customFormat="false" ht="15" hidden="false" customHeight="false" outlineLevel="0" collapsed="false">
      <c r="A9" s="3" t="s">
        <v>107</v>
      </c>
      <c r="B9" s="21" t="n">
        <f aca="false">B7+B8</f>
        <v>274.2</v>
      </c>
      <c r="C9" s="21" t="n">
        <f aca="false">C7+C8</f>
        <v>415.6</v>
      </c>
      <c r="D9" s="21" t="n">
        <f aca="false">D7+D8</f>
        <v>507</v>
      </c>
      <c r="E9" s="20" t="s">
        <v>108</v>
      </c>
    </row>
    <row r="10" customFormat="false" ht="15" hidden="false" customHeight="false" outlineLevel="0" collapsed="false">
      <c r="A10" s="3" t="s">
        <v>109</v>
      </c>
      <c r="B10" s="15" t="n">
        <f aca="false">'Volunteer Budget Y1'!B20/B6</f>
        <v>139.84347826087</v>
      </c>
      <c r="C10" s="15" t="n">
        <f aca="false">'Volunteer Budget Y1'!C20/C6</f>
        <v>148.804891304348</v>
      </c>
      <c r="D10" s="15" t="n">
        <f aca="false">'Volunteer Budget Y1'!D20/D6</f>
        <v>155.61652173913</v>
      </c>
      <c r="E10" s="20" t="s">
        <v>110</v>
      </c>
    </row>
    <row r="11" customFormat="false" ht="15" hidden="false" customHeight="false" outlineLevel="0" collapsed="false">
      <c r="A11" s="3" t="s">
        <v>111</v>
      </c>
      <c r="B11" s="15" t="n">
        <f aca="false">'Volunteer Budget Y1'!B20/B7</f>
        <v>559.373913043478</v>
      </c>
      <c r="C11" s="15" t="n">
        <f aca="false">'Volunteer Budget Y1'!C20/C7</f>
        <v>595.219565217391</v>
      </c>
      <c r="D11" s="15" t="n">
        <f aca="false">'Volunteer Budget Y1'!D20/D7</f>
        <v>622.466086956522</v>
      </c>
      <c r="E11" s="20"/>
    </row>
    <row r="12" customFormat="false" ht="15" hidden="false" customHeight="false" outlineLevel="0" collapsed="false">
      <c r="A12" s="3" t="s">
        <v>112</v>
      </c>
      <c r="B12" s="15" t="n">
        <f aca="false">'Volunteer Budget Y1'!B20/B9</f>
        <v>253.37067833698</v>
      </c>
      <c r="C12" s="15" t="n">
        <f aca="false">'Volunteer Budget Y1'!C20/C9</f>
        <v>237.171222329163</v>
      </c>
      <c r="D12" s="15" t="n">
        <f aca="false">'Volunteer Budget Y1'!D20/D9</f>
        <v>254.142958579882</v>
      </c>
      <c r="E12" s="20"/>
    </row>
    <row r="13" customFormat="false" ht="15" hidden="false" customHeight="false" outlineLevel="0" collapsed="false">
      <c r="A13" s="3" t="s">
        <v>113</v>
      </c>
      <c r="B13" s="15" t="n">
        <f aca="false">('Volunteer Budget Y1'!B20+'In-Kind Value'!B10)/B6</f>
        <v>413.99806763285</v>
      </c>
      <c r="C13" s="15" t="n">
        <f aca="false">('Volunteer Budget Y1'!C20+'In-Kind Value'!C10)/C6</f>
        <v>414.203442028985</v>
      </c>
      <c r="D13" s="15" t="n">
        <f aca="false">('Volunteer Budget Y1'!D20+'In-Kind Value'!D10)/D6</f>
        <v>416.244541062802</v>
      </c>
      <c r="E13" s="20" t="s">
        <v>114</v>
      </c>
    </row>
    <row r="15" customFormat="false" ht="15" hidden="false" customHeight="false" outlineLevel="0" collapsed="false">
      <c r="A15" s="2" t="s">
        <v>115</v>
      </c>
    </row>
    <row r="16" customFormat="false" ht="15" hidden="false" customHeight="true" outlineLevel="0" collapsed="false">
      <c r="A16" s="14" t="s">
        <v>116</v>
      </c>
      <c r="B16" s="16" t="n">
        <v>624</v>
      </c>
      <c r="C16" s="22" t="s">
        <v>117</v>
      </c>
      <c r="D16" s="22"/>
      <c r="E16" s="22"/>
    </row>
    <row r="17" customFormat="false" ht="15" hidden="false" customHeight="true" outlineLevel="0" collapsed="false">
      <c r="A17" s="14" t="s">
        <v>118</v>
      </c>
      <c r="B17" s="16" t="n">
        <v>3083739</v>
      </c>
      <c r="C17" s="22" t="s">
        <v>119</v>
      </c>
      <c r="D17" s="22"/>
      <c r="E17" s="22"/>
    </row>
    <row r="18" customFormat="false" ht="23.85" hidden="false" customHeight="true" outlineLevel="0" collapsed="false">
      <c r="A18" s="14" t="s">
        <v>120</v>
      </c>
      <c r="B18" s="8"/>
      <c r="C18" s="22" t="s">
        <v>121</v>
      </c>
      <c r="D18" s="22"/>
      <c r="E18" s="22"/>
    </row>
    <row r="19" customFormat="false" ht="23.85" hidden="false" customHeight="true" outlineLevel="0" collapsed="false">
      <c r="A19" s="14" t="s">
        <v>122</v>
      </c>
      <c r="B19" s="8"/>
      <c r="C19" s="22" t="s">
        <v>123</v>
      </c>
      <c r="D19" s="22"/>
      <c r="E19" s="22"/>
    </row>
  </sheetData>
  <mergeCells count="4">
    <mergeCell ref="C16:E16"/>
    <mergeCell ref="C17:E17"/>
    <mergeCell ref="C18:E18"/>
    <mergeCell ref="C19:E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4" min="2" style="0" width="13"/>
    <col collapsed="false" customWidth="true" hidden="false" outlineLevel="0" max="5" min="5" style="0" width="50"/>
  </cols>
  <sheetData>
    <row r="1" customFormat="false" ht="17.35" hidden="false" customHeight="false" outlineLevel="0" collapsed="false">
      <c r="A1" s="1" t="s">
        <v>124</v>
      </c>
    </row>
    <row r="2" customFormat="false" ht="15" hidden="false" customHeight="false" outlineLevel="0" collapsed="false">
      <c r="A2" s="5" t="s">
        <v>125</v>
      </c>
    </row>
    <row r="4" customFormat="false" ht="15" hidden="false" customHeight="false" outlineLevel="0" collapsed="false">
      <c r="A4" s="6" t="s">
        <v>126</v>
      </c>
      <c r="B4" s="6" t="s">
        <v>15</v>
      </c>
      <c r="C4" s="6" t="s">
        <v>16</v>
      </c>
      <c r="D4" s="6" t="s">
        <v>17</v>
      </c>
      <c r="E4" s="6" t="s">
        <v>127</v>
      </c>
    </row>
    <row r="5" customFormat="false" ht="15" hidden="false" customHeight="false" outlineLevel="0" collapsed="false">
      <c r="A5" s="14" t="s">
        <v>128</v>
      </c>
      <c r="B5" s="15" t="n">
        <f aca="false">Assumptions!B7*8*Assumptions!B6*Assumptions!B17</f>
        <v>82800</v>
      </c>
      <c r="C5" s="15" t="n">
        <f aca="false">Assumptions!C7*8*Assumptions!C6*Assumptions!C17</f>
        <v>110400</v>
      </c>
      <c r="D5" s="15" t="n">
        <f aca="false">Assumptions!D7*8*Assumptions!D6*Assumptions!D17</f>
        <v>138000</v>
      </c>
      <c r="E5" s="4" t="s">
        <v>129</v>
      </c>
    </row>
    <row r="6" customFormat="false" ht="23.85" hidden="false" customHeight="false" outlineLevel="0" collapsed="false">
      <c r="A6" s="14" t="s">
        <v>130</v>
      </c>
      <c r="B6" s="15" t="n">
        <f aca="false">2*8*Assumptions!B6*Assumptions!B18</f>
        <v>18400</v>
      </c>
      <c r="C6" s="15" t="n">
        <f aca="false">2*8*Assumptions!C6*Assumptions!C18</f>
        <v>18400</v>
      </c>
      <c r="D6" s="15" t="n">
        <f aca="false">2*8*Assumptions!D6*Assumptions!D18</f>
        <v>18400</v>
      </c>
      <c r="E6" s="4" t="s">
        <v>131</v>
      </c>
    </row>
    <row r="7" customFormat="false" ht="15" hidden="false" customHeight="false" outlineLevel="0" collapsed="false">
      <c r="A7" s="14" t="s">
        <v>132</v>
      </c>
      <c r="B7" s="15" t="n">
        <f aca="false">Assumptions!B19*12</f>
        <v>12000</v>
      </c>
      <c r="C7" s="15" t="n">
        <f aca="false">Assumptions!C19*12</f>
        <v>12000</v>
      </c>
      <c r="D7" s="15" t="n">
        <f aca="false">Assumptions!D19*12</f>
        <v>14400</v>
      </c>
      <c r="E7" s="4" t="s">
        <v>133</v>
      </c>
    </row>
    <row r="8" customFormat="false" ht="15" hidden="false" customHeight="false" outlineLevel="0" collapsed="false">
      <c r="A8" s="14" t="s">
        <v>134</v>
      </c>
      <c r="B8" s="13" t="n">
        <v>8000</v>
      </c>
      <c r="C8" s="13" t="n">
        <v>10000</v>
      </c>
      <c r="D8" s="13" t="n">
        <v>10000</v>
      </c>
      <c r="E8" s="4" t="s">
        <v>135</v>
      </c>
    </row>
    <row r="9" customFormat="false" ht="15" hidden="false" customHeight="false" outlineLevel="0" collapsed="false">
      <c r="A9" s="14" t="s">
        <v>136</v>
      </c>
      <c r="B9" s="13" t="n">
        <v>15000</v>
      </c>
      <c r="C9" s="13" t="n">
        <v>25000</v>
      </c>
      <c r="D9" s="13" t="n">
        <v>35000</v>
      </c>
      <c r="E9" s="4" t="s">
        <v>137</v>
      </c>
    </row>
    <row r="10" customFormat="false" ht="15" hidden="false" customHeight="false" outlineLevel="0" collapsed="false">
      <c r="A10" s="3" t="s">
        <v>138</v>
      </c>
      <c r="B10" s="16" t="n">
        <f aca="false">SUM(B5:B9)</f>
        <v>136200</v>
      </c>
      <c r="C10" s="16" t="n">
        <f aca="false">SUM(C5:C9)</f>
        <v>175800</v>
      </c>
      <c r="D10" s="16" t="n">
        <f aca="false">SUM(D5:D9)</f>
        <v>215800</v>
      </c>
    </row>
    <row r="12" customFormat="false" ht="15" hidden="false" customHeight="false" outlineLevel="0" collapsed="false">
      <c r="A12" s="3" t="s">
        <v>139</v>
      </c>
      <c r="B12" s="23" t="n">
        <f aca="false">B10/'Volunteer Budget Y1'!B20</f>
        <v>1.96043886194365</v>
      </c>
      <c r="C12" s="23" t="n">
        <f aca="false">C10/'Volunteer Budget Y1'!C20</f>
        <v>1.78353378305168</v>
      </c>
      <c r="D12" s="23" t="n">
        <f aca="false">D10/'Volunteer Budget Y1'!D20</f>
        <v>1.67480943804012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4"/>
    <col collapsed="false" customWidth="true" hidden="false" outlineLevel="0" max="3" min="3" style="0" width="30"/>
    <col collapsed="false" customWidth="true" hidden="false" outlineLevel="0" max="4" min="4" style="0" width="52"/>
  </cols>
  <sheetData>
    <row r="1" customFormat="false" ht="17.35" hidden="false" customHeight="false" outlineLevel="0" collapsed="false">
      <c r="A1" s="1" t="s">
        <v>140</v>
      </c>
    </row>
    <row r="2" customFormat="false" ht="15" hidden="false" customHeight="false" outlineLevel="0" collapsed="false">
      <c r="A2" s="5" t="s">
        <v>141</v>
      </c>
    </row>
    <row r="4" customFormat="false" ht="15" hidden="false" customHeight="false" outlineLevel="0" collapsed="false">
      <c r="A4" s="6" t="s">
        <v>142</v>
      </c>
      <c r="B4" s="6" t="s">
        <v>143</v>
      </c>
      <c r="C4" s="6" t="s">
        <v>144</v>
      </c>
      <c r="D4" s="6" t="s">
        <v>145</v>
      </c>
    </row>
    <row r="5" customFormat="false" ht="35.05" hidden="false" customHeight="false" outlineLevel="0" collapsed="false">
      <c r="A5" s="14" t="s">
        <v>146</v>
      </c>
      <c r="B5" s="13" t="n">
        <v>50000</v>
      </c>
      <c r="C5" s="4" t="s">
        <v>147</v>
      </c>
      <c r="D5" s="4" t="s">
        <v>148</v>
      </c>
    </row>
    <row r="6" customFormat="false" ht="23.85" hidden="false" customHeight="false" outlineLevel="0" collapsed="false">
      <c r="A6" s="14" t="s">
        <v>149</v>
      </c>
      <c r="B6" s="13" t="n">
        <v>30000</v>
      </c>
      <c r="C6" s="4" t="s">
        <v>150</v>
      </c>
      <c r="D6" s="4" t="s">
        <v>151</v>
      </c>
    </row>
    <row r="7" customFormat="false" ht="23.85" hidden="false" customHeight="false" outlineLevel="0" collapsed="false">
      <c r="A7" s="14" t="s">
        <v>152</v>
      </c>
      <c r="B7" s="13" t="n">
        <v>12000</v>
      </c>
      <c r="C7" s="4" t="s">
        <v>153</v>
      </c>
      <c r="D7" s="4" t="s">
        <v>154</v>
      </c>
    </row>
    <row r="8" customFormat="false" ht="23.85" hidden="false" customHeight="false" outlineLevel="0" collapsed="false">
      <c r="A8" s="14" t="s">
        <v>155</v>
      </c>
      <c r="B8" s="13" t="n">
        <v>15000</v>
      </c>
      <c r="C8" s="4" t="s">
        <v>156</v>
      </c>
      <c r="D8" s="4" t="s">
        <v>157</v>
      </c>
    </row>
    <row r="9" customFormat="false" ht="23.85" hidden="false" customHeight="false" outlineLevel="0" collapsed="false">
      <c r="A9" s="14" t="s">
        <v>158</v>
      </c>
      <c r="B9" s="13" t="n">
        <v>5000</v>
      </c>
      <c r="C9" s="4" t="s">
        <v>159</v>
      </c>
      <c r="D9" s="4"/>
    </row>
    <row r="10" customFormat="false" ht="15" hidden="false" customHeight="false" outlineLevel="0" collapsed="false">
      <c r="A10" s="3" t="s">
        <v>160</v>
      </c>
      <c r="B10" s="16" t="n">
        <f aca="false">SUM(B5:B9)</f>
        <v>112000</v>
      </c>
    </row>
    <row r="12" customFormat="false" ht="15" hidden="false" customHeight="false" outlineLevel="0" collapsed="false">
      <c r="A12" s="6" t="s">
        <v>161</v>
      </c>
      <c r="B12" s="6" t="s">
        <v>143</v>
      </c>
      <c r="C12" s="6"/>
      <c r="D12" s="6"/>
    </row>
    <row r="13" customFormat="false" ht="15" hidden="false" customHeight="false" outlineLevel="0" collapsed="false">
      <c r="A13" s="3" t="s">
        <v>162</v>
      </c>
      <c r="B13" s="15" t="n">
        <f aca="false">'Volunteer Budget Y1'!C20</f>
        <v>98568.36</v>
      </c>
    </row>
    <row r="14" customFormat="false" ht="15" hidden="false" customHeight="false" outlineLevel="0" collapsed="false">
      <c r="A14" s="3" t="s">
        <v>163</v>
      </c>
      <c r="B14" s="15" t="n">
        <f aca="false">'Volunteer Budget Y1'!C22</f>
        <v>24642.09</v>
      </c>
    </row>
    <row r="15" customFormat="false" ht="15" hidden="false" customHeight="false" outlineLevel="0" collapsed="false">
      <c r="A15" s="3" t="s">
        <v>164</v>
      </c>
      <c r="B15" s="16" t="n">
        <f aca="false">SUM(B13:B14)</f>
        <v>123210.45</v>
      </c>
    </row>
    <row r="16" customFormat="false" ht="57.45" hidden="false" customHeight="false" outlineLevel="0" collapsed="false">
      <c r="A16" s="3" t="s">
        <v>165</v>
      </c>
      <c r="B16" s="24" t="n">
        <f aca="false">B10-B15</f>
        <v>-11210.45</v>
      </c>
      <c r="C16" s="4" t="s">
        <v>166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4" min="2" style="0" width="14"/>
    <col collapsed="false" customWidth="true" hidden="false" outlineLevel="0" max="5" min="5" style="0" width="50"/>
  </cols>
  <sheetData>
    <row r="1" customFormat="false" ht="17.35" hidden="false" customHeight="false" outlineLevel="0" collapsed="false">
      <c r="A1" s="1" t="s">
        <v>167</v>
      </c>
    </row>
    <row r="2" customFormat="false" ht="15" hidden="false" customHeight="false" outlineLevel="0" collapsed="false">
      <c r="A2" s="5" t="s">
        <v>168</v>
      </c>
    </row>
    <row r="4" customFormat="false" ht="15" hidden="false" customHeight="false" outlineLevel="0" collapsed="false">
      <c r="A4" s="6" t="s">
        <v>97</v>
      </c>
      <c r="B4" s="6" t="s">
        <v>169</v>
      </c>
      <c r="C4" s="6" t="s">
        <v>170</v>
      </c>
      <c r="D4" s="6" t="s">
        <v>171</v>
      </c>
      <c r="E4" s="6" t="s">
        <v>172</v>
      </c>
    </row>
    <row r="5" customFormat="false" ht="15" hidden="false" customHeight="false" outlineLevel="0" collapsed="false">
      <c r="A5" s="3" t="s">
        <v>20</v>
      </c>
      <c r="B5" s="19" t="n">
        <f aca="false">Assumptions!C5</f>
        <v>1</v>
      </c>
      <c r="C5" s="7" t="n">
        <v>2</v>
      </c>
      <c r="D5" s="25" t="n">
        <v>2.5</v>
      </c>
      <c r="E5" s="4" t="s">
        <v>173</v>
      </c>
    </row>
    <row r="6" customFormat="false" ht="15" hidden="false" customHeight="false" outlineLevel="0" collapsed="false">
      <c r="A6" s="3" t="s">
        <v>174</v>
      </c>
      <c r="B6" s="26" t="n">
        <v>1</v>
      </c>
      <c r="C6" s="26" t="n">
        <f aca="false">C5/B5*0.85</f>
        <v>1.7</v>
      </c>
      <c r="D6" s="26" t="n">
        <f aca="false">D5/B5*0.85</f>
        <v>2.125</v>
      </c>
      <c r="E6" s="4" t="s">
        <v>175</v>
      </c>
    </row>
    <row r="7" customFormat="false" ht="15" hidden="false" customHeight="false" outlineLevel="0" collapsed="false">
      <c r="A7" s="3" t="s">
        <v>176</v>
      </c>
      <c r="B7" s="15" t="n">
        <f aca="false">'Volunteer Budget Y1'!C20</f>
        <v>98568.36</v>
      </c>
      <c r="C7" s="16" t="n">
        <f aca="false">B7*C6*1.04</f>
        <v>174268.86048</v>
      </c>
      <c r="D7" s="16" t="n">
        <f aca="false">B7*D6*1.04^2</f>
        <v>226549.518624</v>
      </c>
      <c r="E7" s="4" t="s">
        <v>177</v>
      </c>
    </row>
    <row r="8" customFormat="false" ht="15" hidden="false" customHeight="false" outlineLevel="0" collapsed="false">
      <c r="A8" s="3" t="s">
        <v>178</v>
      </c>
      <c r="B8" s="19" t="n">
        <f aca="false">'Capacity &amp; Unit Economics'!C6</f>
        <v>662.4</v>
      </c>
      <c r="C8" s="21" t="n">
        <f aca="false">B8*C5/B5</f>
        <v>1324.8</v>
      </c>
      <c r="D8" s="21" t="n">
        <f aca="false">B8*D5/B5</f>
        <v>1656</v>
      </c>
    </row>
    <row r="9" customFormat="false" ht="15" hidden="false" customHeight="false" outlineLevel="0" collapsed="false">
      <c r="A9" s="3" t="s">
        <v>179</v>
      </c>
      <c r="B9" s="19" t="n">
        <f aca="false">'Capacity &amp; Unit Economics'!C7</f>
        <v>165.6</v>
      </c>
      <c r="C9" s="21" t="n">
        <f aca="false">B9*C5/B5</f>
        <v>331.2</v>
      </c>
      <c r="D9" s="21" t="n">
        <f aca="false">B9*D5/B5</f>
        <v>414</v>
      </c>
    </row>
    <row r="10" customFormat="false" ht="15" hidden="false" customHeight="false" outlineLevel="0" collapsed="false">
      <c r="A10" s="3" t="s">
        <v>180</v>
      </c>
      <c r="B10" s="16" t="n">
        <f aca="false">B7/B8</f>
        <v>148.804891304348</v>
      </c>
      <c r="C10" s="16" t="n">
        <f aca="false">C7/C8</f>
        <v>131.543523913043</v>
      </c>
      <c r="D10" s="16" t="n">
        <f aca="false">D7/D8</f>
        <v>136.805264869565</v>
      </c>
    </row>
    <row r="12" customFormat="false" ht="23.85" hidden="false" customHeight="true" outlineLevel="0" collapsed="false">
      <c r="A12" s="14" t="s">
        <v>181</v>
      </c>
      <c r="B12" s="22" t="s">
        <v>182</v>
      </c>
      <c r="C12" s="22"/>
      <c r="D12" s="22"/>
      <c r="E12" s="22"/>
    </row>
    <row r="13" customFormat="false" ht="23.85" hidden="false" customHeight="true" outlineLevel="0" collapsed="false">
      <c r="A13" s="14" t="s">
        <v>183</v>
      </c>
      <c r="B13" s="22" t="s">
        <v>184</v>
      </c>
      <c r="C13" s="22"/>
      <c r="D13" s="22"/>
      <c r="E13" s="22"/>
    </row>
  </sheetData>
  <mergeCells count="2">
    <mergeCell ref="B12:E12"/>
    <mergeCell ref="B13:E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0"/>
    <col collapsed="false" customWidth="true" hidden="false" outlineLevel="0" max="3" min="3" style="0" width="52"/>
    <col collapsed="false" customWidth="true" hidden="false" outlineLevel="0" max="4" min="4" style="0" width="40"/>
  </cols>
  <sheetData>
    <row r="1" customFormat="false" ht="17.35" hidden="false" customHeight="false" outlineLevel="0" collapsed="false">
      <c r="A1" s="1" t="s">
        <v>185</v>
      </c>
    </row>
    <row r="2" customFormat="false" ht="15" hidden="false" customHeight="false" outlineLevel="0" collapsed="false">
      <c r="A2" s="5" t="s">
        <v>186</v>
      </c>
    </row>
    <row r="4" customFormat="false" ht="15" hidden="false" customHeight="false" outlineLevel="0" collapsed="false">
      <c r="A4" s="6" t="s">
        <v>187</v>
      </c>
      <c r="B4" s="6" t="s">
        <v>188</v>
      </c>
      <c r="C4" s="6" t="s">
        <v>189</v>
      </c>
      <c r="D4" s="6" t="s">
        <v>190</v>
      </c>
    </row>
    <row r="5" customFormat="false" ht="46.25" hidden="false" customHeight="false" outlineLevel="0" collapsed="false">
      <c r="A5" s="8" t="n">
        <v>1</v>
      </c>
      <c r="B5" s="4" t="s">
        <v>191</v>
      </c>
      <c r="C5" s="4" t="s">
        <v>192</v>
      </c>
      <c r="D5" s="4" t="s">
        <v>193</v>
      </c>
    </row>
    <row r="6" customFormat="false" ht="15" hidden="false" customHeight="false" outlineLevel="0" collapsed="false">
      <c r="A6" s="8" t="n">
        <v>2</v>
      </c>
      <c r="B6" s="4" t="s">
        <v>194</v>
      </c>
      <c r="C6" s="4" t="s">
        <v>195</v>
      </c>
      <c r="D6" s="4" t="s">
        <v>196</v>
      </c>
    </row>
    <row r="7" customFormat="false" ht="46.25" hidden="false" customHeight="false" outlineLevel="0" collapsed="false">
      <c r="A7" s="8" t="n">
        <v>3</v>
      </c>
      <c r="B7" s="4" t="s">
        <v>197</v>
      </c>
      <c r="C7" s="4" t="s">
        <v>198</v>
      </c>
      <c r="D7" s="4" t="s">
        <v>199</v>
      </c>
    </row>
    <row r="8" customFormat="false" ht="23.85" hidden="false" customHeight="false" outlineLevel="0" collapsed="false">
      <c r="A8" s="8" t="n">
        <v>4</v>
      </c>
      <c r="B8" s="4" t="s">
        <v>200</v>
      </c>
      <c r="C8" s="4" t="s">
        <v>201</v>
      </c>
      <c r="D8" s="4" t="s">
        <v>202</v>
      </c>
    </row>
    <row r="9" customFormat="false" ht="23.85" hidden="false" customHeight="false" outlineLevel="0" collapsed="false">
      <c r="A9" s="8" t="n">
        <v>5</v>
      </c>
      <c r="B9" s="4" t="s">
        <v>203</v>
      </c>
      <c r="C9" s="4" t="s">
        <v>204</v>
      </c>
      <c r="D9" s="4" t="s">
        <v>205</v>
      </c>
    </row>
    <row r="10" customFormat="false" ht="23.85" hidden="false" customHeight="false" outlineLevel="0" collapsed="false">
      <c r="A10" s="8" t="n">
        <v>6</v>
      </c>
      <c r="B10" s="4" t="s">
        <v>206</v>
      </c>
      <c r="C10" s="4" t="s">
        <v>207</v>
      </c>
      <c r="D10" s="4" t="s">
        <v>208</v>
      </c>
    </row>
    <row r="11" customFormat="false" ht="35.05" hidden="false" customHeight="false" outlineLevel="0" collapsed="false">
      <c r="A11" s="8" t="n">
        <v>7</v>
      </c>
      <c r="B11" s="4" t="s">
        <v>209</v>
      </c>
      <c r="C11" s="4" t="s">
        <v>210</v>
      </c>
      <c r="D11" s="4" t="s">
        <v>211</v>
      </c>
    </row>
    <row r="12" customFormat="false" ht="23.85" hidden="false" customHeight="false" outlineLevel="0" collapsed="false">
      <c r="A12" s="8" t="n">
        <v>8</v>
      </c>
      <c r="B12" s="4" t="s">
        <v>212</v>
      </c>
      <c r="C12" s="4" t="s">
        <v>213</v>
      </c>
      <c r="D12" s="4" t="s">
        <v>214</v>
      </c>
    </row>
    <row r="13" customFormat="false" ht="35.05" hidden="false" customHeight="false" outlineLevel="0" collapsed="false">
      <c r="A13" s="8" t="n">
        <v>9</v>
      </c>
      <c r="B13" s="4" t="s">
        <v>215</v>
      </c>
      <c r="C13" s="4" t="s">
        <v>216</v>
      </c>
      <c r="D13" s="4" t="s">
        <v>217</v>
      </c>
    </row>
    <row r="14" customFormat="false" ht="57.45" hidden="false" customHeight="false" outlineLevel="0" collapsed="false">
      <c r="A14" s="8" t="n">
        <v>10</v>
      </c>
      <c r="B14" s="4" t="s">
        <v>218</v>
      </c>
      <c r="C14" s="4" t="s">
        <v>219</v>
      </c>
      <c r="D14" s="4" t="s">
        <v>220</v>
      </c>
    </row>
    <row r="15" customFormat="false" ht="35.05" hidden="false" customHeight="false" outlineLevel="0" collapsed="false">
      <c r="A15" s="8" t="n">
        <v>11</v>
      </c>
      <c r="B15" s="4" t="s">
        <v>221</v>
      </c>
      <c r="C15" s="4" t="s">
        <v>222</v>
      </c>
      <c r="D15" s="4" t="s">
        <v>223</v>
      </c>
    </row>
    <row r="16" customFormat="false" ht="46.25" hidden="false" customHeight="false" outlineLevel="0" collapsed="false">
      <c r="A16" s="8" t="n">
        <v>12</v>
      </c>
      <c r="B16" s="4" t="s">
        <v>224</v>
      </c>
      <c r="C16" s="4" t="s">
        <v>225</v>
      </c>
      <c r="D16" s="4" t="s">
        <v>226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2026-08-13T21:05:53Z</dcterms:created>
  <dc:creator>openpyxl</dc:creator>
  <dc:description/>
  <dc:language>en-US</dc:language>
  <cp:lastModifiedBy/>
  <dcterms:modified xsi:type="dcterms:W3CDTF">2026-08-13T21:05:53Z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